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11/relationships/webextensiontaskpanes" Target="xl/webextensions/taskpanes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C:\Users\andre\Dropbox\Park Brokerage - Deal Rooms\California\Amador County\Gold Country Campground Resort - Pine Grove, CA\Financials\"/>
    </mc:Choice>
  </mc:AlternateContent>
  <xr:revisionPtr revIDLastSave="0" documentId="13_ncr:1_{8D42783D-B7B5-44CD-BD7F-5E8E36B9FDE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Monthly Comparison" sheetId="1" r:id="rId1"/>
    <sheet name="Dashboard" sheetId="2" r:id="rId2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2" i="1" l="1" a="1"/>
  <c r="B22" i="1" s="1"/>
  <c r="A22" i="1"/>
  <c r="G32" i="1"/>
  <c r="C17" i="1"/>
  <c r="B17" i="1"/>
  <c r="B12" i="2"/>
  <c r="B11" i="2"/>
  <c r="B21" i="1"/>
  <c r="B10" i="2" s="1"/>
  <c r="B20" i="1"/>
  <c r="B9" i="2" s="1"/>
  <c r="C18" i="1"/>
  <c r="B6" i="2" s="1"/>
  <c r="B18" i="1"/>
  <c r="B5" i="2" s="1"/>
  <c r="G16" i="1"/>
  <c r="F16" i="1"/>
  <c r="E16" i="1"/>
  <c r="D16" i="1"/>
  <c r="G15" i="1"/>
  <c r="F15" i="1"/>
  <c r="E15" i="1"/>
  <c r="D15" i="1"/>
  <c r="G14" i="1"/>
  <c r="F14" i="1"/>
  <c r="E14" i="1"/>
  <c r="D14" i="1"/>
  <c r="G13" i="1"/>
  <c r="F13" i="1"/>
  <c r="E13" i="1"/>
  <c r="D13" i="1"/>
  <c r="G12" i="1"/>
  <c r="F12" i="1"/>
  <c r="E12" i="1"/>
  <c r="D12" i="1"/>
  <c r="G11" i="1"/>
  <c r="F11" i="1"/>
  <c r="E11" i="1"/>
  <c r="D11" i="1"/>
  <c r="G10" i="1"/>
  <c r="F10" i="1"/>
  <c r="E10" i="1"/>
  <c r="D10" i="1"/>
  <c r="G9" i="1"/>
  <c r="F9" i="1"/>
  <c r="E9" i="1"/>
  <c r="D9" i="1"/>
  <c r="G8" i="1"/>
  <c r="F8" i="1"/>
  <c r="E8" i="1"/>
  <c r="D8" i="1"/>
  <c r="G7" i="1"/>
  <c r="F7" i="1"/>
  <c r="E7" i="1"/>
  <c r="D7" i="1"/>
  <c r="G6" i="1"/>
  <c r="F6" i="1"/>
  <c r="E6" i="1"/>
  <c r="D6" i="1"/>
  <c r="G5" i="1"/>
  <c r="F5" i="1"/>
  <c r="E5" i="1"/>
  <c r="D5" i="1"/>
  <c r="B14" i="2" l="1"/>
  <c r="B13" i="2"/>
  <c r="D18" i="1"/>
  <c r="B7" i="2" s="1"/>
  <c r="E18" i="1"/>
  <c r="B8" i="2" s="1"/>
  <c r="F18" i="1"/>
  <c r="G1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  <author>Andrew Dohogne</author>
  </authors>
  <commentList>
    <comment ref="A18" authorId="0" shapeId="0" xr:uid="{00000000-0006-0000-0000-000001000000}">
      <text>
        <r>
          <rPr>
            <sz val="10"/>
            <rFont val="Arial"/>
            <family val="2"/>
          </rPr>
          <t>Compares 2025 vs 2026 only for months that have 2026 data entered, so the comparison stays apples-to-apples as new months come in.</t>
        </r>
      </text>
    </comment>
    <comment ref="B22" authorId="1" shapeId="0" xr:uid="{52A92E6E-2DA8-4832-B12A-0A331CF9F9FA}">
      <text>
        <r>
          <rPr>
            <b/>
            <sz val="9"/>
            <color indexed="81"/>
            <rFont val="Tahoma"/>
            <charset val="1"/>
          </rPr>
          <t>Andrew Dohogne:</t>
        </r>
        <r>
          <rPr>
            <sz val="9"/>
            <color indexed="81"/>
            <rFont val="Tahoma"/>
            <charset val="1"/>
          </rPr>
          <t xml:space="preserve">
Trailing 12 months = sum of all 2026 months entered so far, plus the remaining 2025 months needed to complete a 12-month window. Updates automatically as new 2026 months are entered.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<sst xmlns="http://schemas.openxmlformats.org/spreadsheetml/2006/main" count="40" uniqueCount="37">
  <si>
    <t>Gold Country Campground Resort</t>
  </si>
  <si>
    <t>Total Monthly Income  —  2025 vs. 2026  (YTD through May)</t>
  </si>
  <si>
    <t>Blue cells are inputs. Enter each 2026 month as it closes (and the matching 2025 month) — the YTD comparison, charts, and dashboard update automatically.</t>
  </si>
  <si>
    <t>Month</t>
  </si>
  <si>
    <t>2025 Income</t>
  </si>
  <si>
    <t>2026 Income</t>
  </si>
  <si>
    <t>Variance ($)</t>
  </si>
  <si>
    <t>Variance (%)</t>
  </si>
  <si>
    <t>2025 YTD</t>
  </si>
  <si>
    <t>2026 YTD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</si>
  <si>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</si>
  <si>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</si>
  <si>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</si>
  <si>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</si>
  <si>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</si>
  <si>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</si>
  <si>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</si>
  <si>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</si>
  <si>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</si>
  <si>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</si>
  <si>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</si>
  <si>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</si>
  <si>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 Income</t>
  </si>
  <si>
    <t>YTD Comparison</t>
  </si>
  <si>
    <t>Through month:</t>
  </si>
  <si>
    <t>Months entered (2026):</t>
  </si>
  <si>
    <t>Income Dashboard  —  2025 vs. 2026 (YTD)</t>
  </si>
  <si>
    <t>Key Metric</t>
  </si>
  <si>
    <t>Value</t>
  </si>
  <si>
    <t>YTD Income 2025</t>
  </si>
  <si>
    <t>YTD Income 2026</t>
  </si>
  <si>
    <t>Through Month</t>
  </si>
  <si>
    <t>Months Entered</t>
  </si>
  <si>
    <t>Avg Monthly 2026</t>
  </si>
  <si>
    <t>Best Month 2026</t>
  </si>
  <si>
    <t>Biggest YoY Gain</t>
  </si>
  <si>
    <t>Biggest YoY Drop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</si>
</sst>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;&quot;($&quot;#,##0\);\-"/>
    <numFmt numFmtId="165" formatCode="0.0%;\(0.0%\);\-"/>
    <numFmt numFmtId="166" formatCode="\$#,##0.00;&quot;($&quot;#,##0.00\);\-"/>
  </numFmts>
  <fonts count="14">
    <font>
      <sz val="11"/>
      <color theme="1"/>
      <name val="Calibri"/>
      <family val="2"/>
      <charset val="1"/>
    </font>
    <font>
      <b/>
      <sz val="15"/>
      <color rgb="FF1F3864"/>
      <name val="Arial"/>
      <charset val="1"/>
    </font>
    <font>
      <i/>
      <sz val="10"/>
      <color rgb="FF595959"/>
      <name val="Arial"/>
      <charset val="1"/>
    </font>
    <font>
      <i/>
      <sz val="9"/>
      <color rgb="FF808080"/>
      <name val="Arial"/>
      <charset val="1"/>
    </font>
    <font>
      <b/>
      <sz val="10"/>
      <color rgb="FFFFFFFF"/>
      <name val="Arial"/>
      <charset val="1"/>
    </font>
    <font>
      <b/>
      <sz val="10"/>
      <color rgb="FF000000"/>
      <name val="Arial"/>
      <charset val="1"/>
    </font>
    <font>
      <sz val="10"/>
      <color rgb="FF0000FF"/>
      <name val="Arial"/>
      <charset val="1"/>
    </font>
    <font>
      <sz val="10"/>
      <color rgb="FF000000"/>
      <name val="Arial"/>
      <charset val="1"/>
    </font>
    <font>
      <sz val="10"/>
      <name val="Arial"/>
      <family val="2"/>
    </font>
    <font>
      <sz val="10"/>
      <color rgb="FF008000"/>
      <name val="Arial"/>
      <charset val="1"/>
    </font>
    <font>
      <b/>
      <sz val="10"/>
      <color rgb="FFFFFFFF"/>
      <name val="Arial"/>
    </font>
    <font>
      <b/>
      <sz val="10"/>
      <color rgb="FF00000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2F2F2"/>
        <bgColor rgb="FFF9F9F9"/>
      </patternFill>
    </fill>
    <fill>
      <patternFill patternType="solid">
        <fgColor rgb="FFBDD7EE"/>
        <bgColor rgb="FFD9D9D9"/>
      </patternFill>
    </fill>
    <fill>
      <patternFill patternType="solid">
        <fgColor rgb="FF1F3864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right" vertical="center"/>
    </xf>
    <xf numFmtId="165" fontId="7" fillId="0" borderId="1" xfId="0" applyNumberFormat="1" applyFont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  <xf numFmtId="164" fontId="7" fillId="3" borderId="1" xfId="0" applyNumberFormat="1" applyFont="1" applyFill="1" applyBorder="1" applyAlignment="1">
      <alignment horizontal="right" vertical="center"/>
    </xf>
    <xf numFmtId="165" fontId="7" fillId="3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right" vertical="center"/>
    </xf>
    <xf numFmtId="165" fontId="5" fillId="4" borderId="1" xfId="0" applyNumberFormat="1" applyFont="1" applyFill="1" applyBorder="1" applyAlignment="1">
      <alignment horizontal="right" vertical="center"/>
    </xf>
    <xf numFmtId="0" fontId="5" fillId="0" borderId="0" xfId="0" applyFont="1"/>
    <xf numFmtId="0" fontId="7" fillId="0" borderId="0" xfId="0" applyFont="1" applyAlignment="1">
      <alignment horizontal="left" vertical="center"/>
    </xf>
    <xf numFmtId="164" fontId="9" fillId="0" borderId="1" xfId="0" applyNumberFormat="1" applyFont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164" fontId="0" fillId="0" borderId="0" xfId="0" applyNumberFormat="1"/>
    <xf numFmtId="0" fontId="10" fillId="5" borderId="2" xfId="0" applyFont="1" applyFill="1" applyBorder="1" applyAlignment="1">
      <alignment horizontal="left" vertical="center"/>
    </xf>
    <xf numFmtId="164" fontId="10" fillId="5" borderId="0" xfId="0" applyNumberFormat="1" applyFont="1" applyFill="1" applyAlignment="1">
      <alignment horizontal="right"/>
    </xf>
    <xf numFmtId="165" fontId="10" fillId="5" borderId="2" xfId="0" applyNumberFormat="1" applyFont="1" applyFill="1" applyBorder="1" applyAlignment="1">
      <alignment horizontal="right" vertical="center"/>
    </xf>
    <xf numFmtId="0" fontId="0" fillId="5" borderId="0" xfId="0" applyFill="1"/>
    <xf numFmtId="166" fontId="6" fillId="0" borderId="1" xfId="0" applyNumberFormat="1" applyFont="1" applyBorder="1" applyAlignment="1">
      <alignment horizontal="right" vertical="center"/>
    </xf>
    <xf numFmtId="166" fontId="6" fillId="3" borderId="1" xfId="0" applyNumberFormat="1" applyFont="1" applyFill="1" applyBorder="1" applyAlignment="1">
      <alignment horizontal="right" vertical="center"/>
    </xf>
    <xf numFmtId="0" fontId="11" fillId="6" borderId="3" xfId="0" applyFont="1" applyFill="1" applyBorder="1" applyAlignment="1">
      <alignment horizontal="left"/>
    </xf>
    <xf numFmtId="164" fontId="11" fillId="6" borderId="1" xfId="0" applyNumberFormat="1" applyFont="1" applyFill="1" applyBorder="1" applyAlignment="1">
      <alignment horizontal="right"/>
    </xf>
    <xf numFmtId="166" fontId="0" fillId="0" borderId="0" xfId="0" applyNumberFormat="1"/>
  </cellXfs>
  <cellStyles count="1">
    <cellStyle name="Normal" xfId="0" builtinId="0"/>
  </cellStyles>
  <dxfs count="2">
    <dxf>
      <font>
        <sz val="10"/>
        <color rgb="FF006100"/>
        <name val="Arial"/>
        <charset val="1"/>
      </font>
    </dxf>
    <dxf>
      <font>
        <sz val="10"/>
        <color rgb="FF9C0006"/>
        <name val="Arial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AA433F"/>
      <rgbColor rgb="FFF9F9F9"/>
      <rgbColor rgb="FFF2F2F2"/>
      <rgbColor rgb="FF660066"/>
      <rgbColor rgb="FFCC8F8E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99CCFF"/>
      <rgbColor rgb="FFFF99CC"/>
      <rgbColor rgb="FFCC99FF"/>
      <rgbColor rgb="FFFFCC99"/>
      <rgbColor rgb="FF4F81BD"/>
      <rgbColor rgb="FF33CCCC"/>
      <rgbColor rgb="FF99CC00"/>
      <rgbColor rgb="FFFFCC00"/>
      <rgbColor rgb="FFFF9900"/>
      <rgbColor rgb="FFFF6600"/>
      <rgbColor rgb="FF595959"/>
      <rgbColor rgb="FF878787"/>
      <rgbColor rgb="FF1F3864"/>
      <rgbColor rgb="FF339966"/>
      <rgbColor rgb="FF006100"/>
      <rgbColor rgb="FF333300"/>
      <rgbColor rgb="FF993300"/>
      <rgbColor rgb="FFC0504D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Monthly Income: 2025 vs 2026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'Monthly Comparison'!$B$4</c:f>
              <c:strCache>
                <c:ptCount val="1"/>
                <c:pt idx="0">
                  <c:v>2025 Income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Comparison'!$A$5:$A$16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'Monthly Comparison'!$B$5:$B$16</c:f>
              <c:numCache>
                <c:formatCode>\$#,##0.00;"($"#,##0.00\);\-</c:formatCode>
                <c:ptCount val="12"/>
                <c:pt idx="0">
                  <c:v>70546.28</c:v>
                </c:pt>
                <c:pt idx="1">
                  <c:v>55961.59</c:v>
                </c:pt>
                <c:pt idx="2">
                  <c:v>54073.98</c:v>
                </c:pt>
                <c:pt idx="3">
                  <c:v>62541.85</c:v>
                </c:pt>
                <c:pt idx="4">
                  <c:v>79940.05</c:v>
                </c:pt>
                <c:pt idx="5">
                  <c:v>79972.11</c:v>
                </c:pt>
                <c:pt idx="6">
                  <c:v>104965.02</c:v>
                </c:pt>
                <c:pt idx="7">
                  <c:v>76779.03</c:v>
                </c:pt>
                <c:pt idx="8">
                  <c:v>71823.149999999994</c:v>
                </c:pt>
                <c:pt idx="9">
                  <c:v>86206.34</c:v>
                </c:pt>
                <c:pt idx="10">
                  <c:v>163477.92000000001</c:v>
                </c:pt>
                <c:pt idx="11">
                  <c:v>57709.27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2D-4641-B7CB-6AC1351AFE32}"/>
            </c:ext>
          </c:extLst>
        </c:ser>
        <c:ser>
          <c:idx val="1"/>
          <c:order val="1"/>
          <c:tx>
            <c:strRef>
              <c:f>'Monthly Comparison'!$C$4</c:f>
              <c:strCache>
                <c:ptCount val="1"/>
                <c:pt idx="0">
                  <c:v>2026 Income</c:v>
                </c:pt>
              </c:strCache>
            </c:strRef>
          </c:tx>
          <c:spPr>
            <a:solidFill>
              <a:srgbClr val="C0504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Comparison'!$A$5:$A$16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'Monthly Comparison'!$C$5:$C$16</c:f>
              <c:numCache>
                <c:formatCode>\$#,##0.00;"($"#,##0.00\);\-</c:formatCode>
                <c:ptCount val="12"/>
                <c:pt idx="0">
                  <c:v>49943.06</c:v>
                </c:pt>
                <c:pt idx="1">
                  <c:v>48590.36</c:v>
                </c:pt>
                <c:pt idx="2">
                  <c:v>83502.16</c:v>
                </c:pt>
                <c:pt idx="3">
                  <c:v>61211.39</c:v>
                </c:pt>
                <c:pt idx="4">
                  <c:v>95425.5</c:v>
                </c:pt>
                <c:pt idx="5">
                  <c:v>103453.55</c:v>
                </c:pt>
                <c:pt idx="6">
                  <c:v>106822.38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2D-4641-B7CB-6AC1351AF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6469705"/>
        <c:axId val="6148016"/>
      </c:barChart>
      <c:catAx>
        <c:axId val="16469705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Month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6148016"/>
        <c:crosses val="autoZero"/>
        <c:auto val="1"/>
        <c:lblAlgn val="ctr"/>
        <c:lblOffset val="100"/>
        <c:noMultiLvlLbl val="0"/>
      </c:catAx>
      <c:valAx>
        <c:axId val="614801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Income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.00;&quot;($&quot;#,##0.00\)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1646970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Cumulative YTD Income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'Monthly Comparison'!$F$4</c:f>
              <c:strCache>
                <c:ptCount val="1"/>
                <c:pt idx="0">
                  <c:v>2025 YTD</c:v>
                </c:pt>
              </c:strCache>
            </c:strRef>
          </c:tx>
          <c:spPr>
            <a:ln w="47520">
              <a:solidFill>
                <a:srgbClr val="AA433F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Comparison'!$A$5:$A$16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'Monthly Comparison'!$F$5:$F$16</c:f>
              <c:numCache>
                <c:formatCode>\$#,##0;"($"#,##0\);\-</c:formatCode>
                <c:ptCount val="12"/>
                <c:pt idx="0">
                  <c:v>70546.28</c:v>
                </c:pt>
                <c:pt idx="1">
                  <c:v>126507.87</c:v>
                </c:pt>
                <c:pt idx="2">
                  <c:v>180581.85</c:v>
                </c:pt>
                <c:pt idx="3">
                  <c:v>243123.7</c:v>
                </c:pt>
                <c:pt idx="4">
                  <c:v>323063.75</c:v>
                </c:pt>
                <c:pt idx="5">
                  <c:v>403035.86</c:v>
                </c:pt>
                <c:pt idx="6">
                  <c:v>508000.88</c:v>
                </c:pt>
                <c:pt idx="7">
                  <c:v>584779.91</c:v>
                </c:pt>
                <c:pt idx="8">
                  <c:v>656603.06000000006</c:v>
                </c:pt>
                <c:pt idx="9">
                  <c:v>742809.4</c:v>
                </c:pt>
                <c:pt idx="10">
                  <c:v>906287.32000000007</c:v>
                </c:pt>
                <c:pt idx="11">
                  <c:v>963996.59000000008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3EB-4B33-BFBA-5CEAD9B53D60}"/>
            </c:ext>
          </c:extLst>
        </c:ser>
        <c:ser>
          <c:idx val="1"/>
          <c:order val="1"/>
          <c:tx>
            <c:strRef>
              <c:f>'Monthly Comparison'!$G$4</c:f>
              <c:strCache>
                <c:ptCount val="1"/>
                <c:pt idx="0">
                  <c:v>2026 YTD</c:v>
                </c:pt>
              </c:strCache>
            </c:strRef>
          </c:tx>
          <c:spPr>
            <a:ln w="47520">
              <a:solidFill>
                <a:srgbClr val="CC8F8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Comparison'!$A$5:$A$16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'Monthly Comparison'!$G$5:$G$16</c:f>
              <c:numCache>
                <c:formatCode>\$#,##0;"($"#,##0\);\-</c:formatCode>
                <c:ptCount val="12"/>
                <c:pt idx="0">
                  <c:v>49943.06</c:v>
                </c:pt>
                <c:pt idx="1">
                  <c:v>98533.42</c:v>
                </c:pt>
                <c:pt idx="2">
                  <c:v>182035.58000000002</c:v>
                </c:pt>
                <c:pt idx="3">
                  <c:v>243246.97000000003</c:v>
                </c:pt>
                <c:pt idx="4">
                  <c:v>338672.47000000003</c:v>
                </c:pt>
                <c:pt idx="5">
                  <c:v>442126.02</c:v>
                </c:pt>
                <c:pt idx="6">
                  <c:v>548948.4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3EB-4B33-BFBA-5CEAD9B53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86729500"/>
        <c:axId val="16025476"/>
      </c:lineChart>
      <c:catAx>
        <c:axId val="86729500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Month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16025476"/>
        <c:crosses val="autoZero"/>
        <c:auto val="1"/>
        <c:lblAlgn val="ctr"/>
        <c:lblOffset val="100"/>
        <c:noMultiLvlLbl val="0"/>
      </c:catAx>
      <c:valAx>
        <c:axId val="1602547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Cumulative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;&quot;($&quot;#,##0\)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86729500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Monthly Variance ($) — 2026 vs 2025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'Monthly Comparison'!$D$4</c:f>
              <c:strCache>
                <c:ptCount val="1"/>
                <c:pt idx="0">
                  <c:v>Variance ($)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Comparison'!$A$5:$A$16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'Monthly Comparison'!$D$5:$D$16</c:f>
              <c:numCache>
                <c:formatCode>\$#,##0;"($"#,##0\);\-</c:formatCode>
                <c:ptCount val="12"/>
                <c:pt idx="0">
                  <c:v>-20603.22</c:v>
                </c:pt>
                <c:pt idx="1">
                  <c:v>-7371.2299999999959</c:v>
                </c:pt>
                <c:pt idx="2">
                  <c:v>29428.18</c:v>
                </c:pt>
                <c:pt idx="3">
                  <c:v>-1330.4599999999991</c:v>
                </c:pt>
                <c:pt idx="4">
                  <c:v>15485.449999999997</c:v>
                </c:pt>
                <c:pt idx="5">
                  <c:v>23481.440000000002</c:v>
                </c:pt>
                <c:pt idx="6">
                  <c:v>1857.3600000000006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24-4AF3-B3D7-F17B538FA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873708"/>
        <c:axId val="48519986"/>
      </c:barChart>
      <c:catAx>
        <c:axId val="64873708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Month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48519986"/>
        <c:crosses val="autoZero"/>
        <c:auto val="1"/>
        <c:lblAlgn val="ctr"/>
        <c:lblOffset val="100"/>
        <c:noMultiLvlLbl val="0"/>
      </c:catAx>
      <c:valAx>
        <c:axId val="4851998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Variance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;&quot;($&quot;#,##0\)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64873708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145440</xdr:rowOff>
    </xdr:from>
    <xdr:to>
      <xdr:col>13</xdr:col>
      <xdr:colOff>364320</xdr:colOff>
      <xdr:row>17</xdr:row>
      <xdr:rowOff>167760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0</xdr:colOff>
      <xdr:row>19</xdr:row>
      <xdr:rowOff>145440</xdr:rowOff>
    </xdr:from>
    <xdr:to>
      <xdr:col>13</xdr:col>
      <xdr:colOff>364320</xdr:colOff>
      <xdr:row>34</xdr:row>
      <xdr:rowOff>167400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3</xdr:col>
      <xdr:colOff>0</xdr:colOff>
      <xdr:row>36</xdr:row>
      <xdr:rowOff>145440</xdr:rowOff>
    </xdr:from>
    <xdr:to>
      <xdr:col>13</xdr:col>
      <xdr:colOff>364320</xdr:colOff>
      <xdr:row>51</xdr:row>
      <xdr:rowOff>167400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2A6C802-1DC8-4BB2-8044-FDB7A3090EBD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39f89e63-4ba8-42f0-b802-dc07af9ed612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showGridLines="0" tabSelected="1" zoomScaleNormal="100" workbookViewId="0">
      <pane ySplit="4" topLeftCell="A5" activePane="bottomLeft" state="frozen"/>
      <selection pane="bottomLeft" activeCell="B22" sqref="B22"/>
    </sheetView>
  </sheetViews>
  <sheetFormatPr defaultColWidth="8.7109375" defaultRowHeight="15"/>
  <cols>
    <col min="1" max="1" width="23.85546875" customWidth="1"/>
    <col min="2" max="7" width="14" customWidth="1"/>
  </cols>
  <sheetData>
    <row r="1" spans="1:7" ht="19.5">
      <c r="A1" s="1" t="s">
        <v>0</v>
      </c>
    </row>
    <row r="2" spans="1:7">
      <c r="A2" s="2" t="s">
        <v>1</v>
      </c>
    </row>
    <row r="3" spans="1:7">
      <c r="A3" s="3" t="s">
        <v>2</v>
      </c>
    </row>
    <row r="4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spans="1:7">
      <c r="A5" s="6" t="s">
        <v>10</v>
      </c>
      <c r="B5" s="27">
        <v>70546.28</v>
      </c>
      <c r="C5" s="27">
        <v>49943.06</v>
      </c>
      <c r="D5" s="7">
        <f t="shared" ref="D5:D16" si="0">IF(OR(B5="",C5=""),"",C5-B5)</f>
        <v>-20603.22</v>
      </c>
      <c r="E5" s="8">
        <f t="shared" ref="E5:E16" si="1">IF(OR(B5="",C5="",B5=0),"",(C5-B5)/B5)</f>
        <v>-0.29205253629248773</v>
      </c>
      <c r="F5" s="7">
        <f>IF(B5="","",SUM($B$5:B5))</f>
        <v>70546.28</v>
      </c>
      <c r="G5" s="7">
        <f>IF(C5="","",SUM($C$5:C5))</f>
        <v>49943.06</v>
      </c>
    </row>
    <row r="6" spans="1:7">
      <c r="A6" s="9" t="s">
        <v>11</v>
      </c>
      <c r="B6" s="28">
        <v>55961.59</v>
      </c>
      <c r="C6" s="28">
        <v>48590.36</v>
      </c>
      <c r="D6" s="10">
        <f t="shared" si="0"/>
        <v>-7371.2299999999959</v>
      </c>
      <c r="E6" s="11">
        <f t="shared" si="1"/>
        <v>-0.13171945257452472</v>
      </c>
      <c r="F6" s="10">
        <f>IF(B6="","",SUM($B$5:B6))</f>
        <v>126507.87</v>
      </c>
      <c r="G6" s="10">
        <f>IF(C6="","",SUM($C$5:C6))</f>
        <v>98533.42</v>
      </c>
    </row>
    <row r="7" spans="1:7">
      <c r="A7" s="6" t="s">
        <v>12</v>
      </c>
      <c r="B7" s="27">
        <v>54073.98</v>
      </c>
      <c r="C7" s="27">
        <v>83502.16</v>
      </c>
      <c r="D7" s="7">
        <f t="shared" si="0"/>
        <v>29428.18</v>
      </c>
      <c r="E7" s="8">
        <f t="shared" si="1"/>
        <v>0.54422071391822835</v>
      </c>
      <c r="F7" s="7">
        <f>IF(B7="","",SUM($B$5:B7))</f>
        <v>180581.85</v>
      </c>
      <c r="G7" s="7">
        <f>IF(C7="","",SUM($C$5:C7))</f>
        <v>182035.58000000002</v>
      </c>
    </row>
    <row r="8" spans="1:7">
      <c r="A8" s="9" t="s">
        <v>13</v>
      </c>
      <c r="B8" s="28">
        <v>62541.85</v>
      </c>
      <c r="C8" s="28">
        <v>61211.39</v>
      </c>
      <c r="D8" s="10">
        <f t="shared" si="0"/>
        <v>-1330.4599999999991</v>
      </c>
      <c r="E8" s="11">
        <f t="shared" si="1"/>
        <v>-2.1273115521846558E-2</v>
      </c>
      <c r="F8" s="10">
        <f>IF(B8="","",SUM($B$5:B8))</f>
        <v>243123.7</v>
      </c>
      <c r="G8" s="10">
        <f>IF(C8="","",SUM($C$5:C8))</f>
        <v>243246.97000000003</v>
      </c>
    </row>
    <row r="9" spans="1:7">
      <c r="A9" s="6" t="s">
        <v>14</v>
      </c>
      <c r="B9" s="27">
        <v>79940.05</v>
      </c>
      <c r="C9" s="27">
        <v>95425.5</v>
      </c>
      <c r="D9" s="7">
        <f t="shared" si="0"/>
        <v>15485.449999999997</v>
      </c>
      <c r="E9" s="8">
        <f t="shared" si="1"/>
        <v>0.19371328889586631</v>
      </c>
      <c r="F9" s="7">
        <f>IF(B9="","",SUM($B$5:B9))</f>
        <v>323063.75</v>
      </c>
      <c r="G9" s="7">
        <f>IF(C9="","",SUM($C$5:C9))</f>
        <v>338672.47000000003</v>
      </c>
    </row>
    <row r="10" spans="1:7">
      <c r="A10" s="9" t="s">
        <v>15</v>
      </c>
      <c r="B10" s="28">
        <v>79972.11</v>
      </c>
      <c r="C10" s="28">
        <v>103453.55</v>
      </c>
      <c r="D10" s="10">
        <f t="shared" si="0"/>
        <v>23481.440000000002</v>
      </c>
      <c r="E10" s="11">
        <f t="shared" si="1"/>
        <v>0.29362036339919007</v>
      </c>
      <c r="F10" s="10">
        <f>IF(B10="","",SUM($B$5:B10))</f>
        <v>403035.86</v>
      </c>
      <c r="G10" s="10">
        <f>IF(C10="","",SUM($C$5:C10))</f>
        <v>442126.02</v>
      </c>
    </row>
    <row r="11" spans="1:7">
      <c r="A11" s="6" t="s">
        <v>16</v>
      </c>
      <c r="B11" s="27">
        <v>104965.02</v>
      </c>
      <c r="C11" s="27">
        <v>106822.38</v>
      </c>
      <c r="D11" s="7">
        <f t="shared" si="0"/>
        <v>1857.3600000000006</v>
      </c>
      <c r="E11" s="8">
        <f t="shared" si="1"/>
        <v>1.7695037832603667E-2</v>
      </c>
      <c r="F11" s="7">
        <f>IF(B11="","",SUM($B$5:B11))</f>
        <v>508000.88</v>
      </c>
      <c r="G11" s="7">
        <f>IF(C11="","",SUM($C$5:C11))</f>
        <v>548948.4</v>
      </c>
    </row>
    <row r="12" spans="1:7">
      <c r="A12" s="9" t="s">
        <v>17</v>
      </c>
      <c r="B12" s="28">
        <v>76779.03</v>
      </c>
      <c r="C12" s="28"/>
      <c r="D12" s="10" t="str">
        <f t="shared" si="0"/>
        <v/>
      </c>
      <c r="E12" s="11" t="str">
        <f t="shared" si="1"/>
        <v/>
      </c>
      <c r="F12" s="10">
        <f>IF(B12="","",SUM($B$5:B12))</f>
        <v>584779.91</v>
      </c>
      <c r="G12" s="10" t="str">
        <f>IF(C12="","",SUM($C$5:C12))</f>
        <v/>
      </c>
    </row>
    <row r="13" spans="1:7">
      <c r="A13" s="6" t="s">
        <v>18</v>
      </c>
      <c r="B13" s="27">
        <v>71823.149999999994</v>
      </c>
      <c r="C13" s="27"/>
      <c r="D13" s="7" t="str">
        <f t="shared" si="0"/>
        <v/>
      </c>
      <c r="E13" s="8" t="str">
        <f t="shared" si="1"/>
        <v/>
      </c>
      <c r="F13" s="7">
        <f>IF(B13="","",SUM($B$5:B13))</f>
        <v>656603.06000000006</v>
      </c>
      <c r="G13" s="7" t="str">
        <f>IF(C13="","",SUM($C$5:C13))</f>
        <v/>
      </c>
    </row>
    <row r="14" spans="1:7">
      <c r="A14" s="9" t="s">
        <v>19</v>
      </c>
      <c r="B14" s="28">
        <v>86206.34</v>
      </c>
      <c r="C14" s="28"/>
      <c r="D14" s="10" t="str">
        <f t="shared" si="0"/>
        <v/>
      </c>
      <c r="E14" s="11" t="str">
        <f t="shared" si="1"/>
        <v/>
      </c>
      <c r="F14" s="10">
        <f>IF(B14="","",SUM($B$5:B14))</f>
        <v>742809.4</v>
      </c>
      <c r="G14" s="10" t="str">
        <f>IF(C14="","",SUM($C$5:C14))</f>
        <v/>
      </c>
    </row>
    <row r="15" spans="1:7">
      <c r="A15" s="6" t="s">
        <v>20</v>
      </c>
      <c r="B15" s="27">
        <v>163477.92000000001</v>
      </c>
      <c r="C15" s="27"/>
      <c r="D15" s="7" t="str">
        <f t="shared" si="0"/>
        <v/>
      </c>
      <c r="E15" s="8" t="str">
        <f t="shared" si="1"/>
        <v/>
      </c>
      <c r="F15" s="7">
        <f>IF(B15="","",SUM($B$5:B15))</f>
        <v>906287.32000000007</v>
      </c>
      <c r="G15" s="7" t="str">
        <f>IF(C15="","",SUM($C$5:C15))</f>
        <v/>
      </c>
    </row>
    <row r="16" spans="1:7">
      <c r="A16" s="9" t="s">
        <v>21</v>
      </c>
      <c r="B16" s="28">
        <v>57709.27</v>
      </c>
      <c r="C16" s="28"/>
      <c r="D16" s="10" t="str">
        <f t="shared" si="0"/>
        <v/>
      </c>
      <c r="E16" s="11" t="str">
        <f t="shared" si="1"/>
        <v/>
      </c>
      <c r="F16" s="10">
        <f>IF(B16="","",SUM($B$5:B16))</f>
        <v>963996.59000000008</v>
      </c>
      <c r="G16" s="10" t="str">
        <f>IF(C16="","",SUM($C$5:C16))</f>
        <v/>
      </c>
    </row>
    <row r="17" spans="1:8">
      <c r="A17" s="23" t="s">
        <v>22</v>
      </c>
      <c r="B17" s="24">
        <f>SUM(B5:B16)</f>
        <v>963996.59000000008</v>
      </c>
      <c r="C17" s="24">
        <f>SUM(C5:C16)</f>
        <v>548948.4</v>
      </c>
      <c r="D17" s="24"/>
      <c r="E17" s="25"/>
      <c r="F17" s="26"/>
      <c r="G17" s="26"/>
    </row>
    <row r="18" spans="1:8">
      <c r="A18" s="12" t="s">
        <v>23</v>
      </c>
      <c r="B18" s="13">
        <f>SUMPRODUCT(($C$5:$C$16&lt;&gt;"")*$B$5:$B$16)</f>
        <v>508000.88</v>
      </c>
      <c r="C18" s="13">
        <f>SUM(C5:C16)</f>
        <v>548948.4</v>
      </c>
      <c r="D18" s="13">
        <f>C18-B18</f>
        <v>40947.520000000019</v>
      </c>
      <c r="E18" s="14">
        <f>IF(B18=0,"",(C18-B18)/B18)</f>
        <v>8.0605214699628114E-2</v>
      </c>
      <c r="F18" s="13">
        <f>B18</f>
        <v>508000.88</v>
      </c>
      <c r="G18" s="13">
        <f>C18</f>
        <v>548948.4</v>
      </c>
    </row>
    <row r="20" spans="1:8">
      <c r="A20" s="15" t="s">
        <v>24</v>
      </c>
      <c r="B20" s="16" t="str">
        <f>IF(COUNT(C5:C16)=0,"",INDEX(A5:A16,COUNT(C5:C16)))</f>
        <v>Jul</v>
      </c>
    </row>
    <row r="21" spans="1:8">
      <c r="A21" s="15" t="s">
        <v>25</v>
      </c>
      <c r="B21" s="16">
        <f>COUNT(C5:C16)</f>
        <v>7</v>
      </c>
      <c r="H21" s="22"/>
    </row>
    <row r="22" spans="1:8">
      <c r="A22" s="29" t="str">
        <f>"Trailing 12-Month Income (through "&amp;B20&amp;" 2026)"</f>
        <v>Trailing 12-Month Income (through Jul 2026)</v>
      </c>
      <c r="B22" s="30" cm="1">
        <f t="array" ref="B22">SUM($C$5:$C$16)+SUMPRODUCT(($C$5:$C$16="")*$B$5:$B$16)</f>
        <v>1004944.1100000001</v>
      </c>
    </row>
    <row r="25" spans="1:8">
      <c r="C25" s="31"/>
    </row>
    <row r="26" spans="1:8">
      <c r="C26" s="31"/>
    </row>
    <row r="32" spans="1:8">
      <c r="G32" s="22">
        <f>SUM(B5:B16)</f>
        <v>963996.59000000008</v>
      </c>
    </row>
  </sheetData>
  <conditionalFormatting sqref="D5:E16 E17 D18:E18">
    <cfRule type="cellIs" dxfId="1" priority="2" operator="lessThan">
      <formula>0</formula>
    </cfRule>
    <cfRule type="cellIs" dxfId="0" priority="3" operator="greaterThan">
      <formula>0</formula>
    </cfRule>
  </conditionalFormatting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"/>
  <sheetViews>
    <sheetView showGridLines="0" zoomScaleNormal="100" workbookViewId="0"/>
  </sheetViews>
  <sheetFormatPr defaultColWidth="8.7109375" defaultRowHeight="15"/>
  <cols>
    <col min="1" max="1" width="22" customWidth="1"/>
    <col min="2" max="2" width="18" customWidth="1"/>
  </cols>
  <sheetData>
    <row r="1" spans="1:2" ht="19.5">
      <c r="A1" s="1" t="s">
        <v>0</v>
      </c>
    </row>
    <row r="2" spans="1:2">
      <c r="A2" s="2" t="s">
        <v>26</v>
      </c>
    </row>
    <row r="4" spans="1:2">
      <c r="A4" s="4" t="s">
        <v>27</v>
      </c>
      <c r="B4" s="5" t="s">
        <v>28</v>
      </c>
    </row>
    <row r="5" spans="1:2">
      <c r="A5" s="6" t="s">
        <v>29</v>
      </c>
      <c r="B5" s="17">
        <f>'Monthly Comparison'!B18</f>
        <v>508000.88</v>
      </c>
    </row>
    <row r="6" spans="1:2">
      <c r="A6" s="9" t="s">
        <v>30</v>
      </c>
      <c r="B6" s="18">
        <f>'Monthly Comparison'!C18</f>
        <v>548948.4</v>
      </c>
    </row>
    <row r="7" spans="1:2">
      <c r="A7" s="6" t="s">
        <v>6</v>
      </c>
      <c r="B7" s="17">
        <f>'Monthly Comparison'!D18</f>
        <v>40947.520000000019</v>
      </c>
    </row>
    <row r="8" spans="1:2">
      <c r="A8" s="9" t="s">
        <v>7</v>
      </c>
      <c r="B8" s="19">
        <f>'Monthly Comparison'!E18</f>
        <v>8.0605214699628114E-2</v>
      </c>
    </row>
    <row r="9" spans="1:2">
      <c r="A9" s="6" t="s">
        <v>31</v>
      </c>
      <c r="B9" s="20" t="str">
        <f>'Monthly Comparison'!B20</f>
        <v>Jul</v>
      </c>
    </row>
    <row r="10" spans="1:2">
      <c r="A10" s="9" t="s">
        <v>32</v>
      </c>
      <c r="B10" s="21">
        <f>'Monthly Comparison'!B21</f>
        <v>7</v>
      </c>
    </row>
    <row r="11" spans="1:2">
      <c r="A11" s="6" t="s">
        <v>33</v>
      </c>
      <c r="B11" s="17">
        <f>IFERROR(AVERAGE('Monthly Comparison'!C5:C16),0)</f>
        <v>78421.2</v>
      </c>
    </row>
    <row r="12" spans="1:2">
      <c r="A12" s="9" t="s">
        <v>34</v>
      </c>
      <c r="B12" s="21" t="str">
        <f>IF(COUNT('Monthly Comparison'!C5:C16)=0,"",INDEX('Monthly Comparison'!A5:A16,MATCH(MAX('Monthly Comparison'!C5:C16),'Monthly Comparison'!C5:C16,0)))</f>
        <v>Jul</v>
      </c>
    </row>
    <row r="13" spans="1:2">
      <c r="A13" s="6" t="s">
        <v>35</v>
      </c>
      <c r="B13" s="20" t="str">
        <f>IF(COUNT('Monthly Comparison'!D5:D16)=0,"",INDEX('Monthly Comparison'!A5:A16,MATCH(MAX('Monthly Comparison'!D5:D16),'Monthly Comparison'!D5:D16,0)))</f>
        <v>Mar</v>
      </c>
    </row>
    <row r="14" spans="1:2">
      <c r="A14" s="9" t="s">
        <v>36</v>
      </c>
      <c r="B14" s="21" t="str">
        <f>IF(COUNT('Monthly Comparison'!D5:D16)=0,"",INDEX('Monthly Comparison'!A5:A16,MATCH(MIN('Monthly Comparison'!D5:D16),'Monthly Comparison'!D5:D16,0)))</f>
        <v>Jan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Andrew Dohogne</cp:lastModifiedBy>
  <cp:revision>1</cp:revision>
  <dcterms:created xsi:type="dcterms:W3CDTF">2026-06-18T22:03:54Z</dcterms:created>
  <dcterms:modified xsi:type="dcterms:W3CDTF">2026-08-13T17:14:56Z</dcterms:modified>
  <cp:category/>
  <cp:contentStatus/>
</cp:coreProperties>
</file>